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defaultThemeVersion="166925"/>
  <mc:AlternateContent xmlns:mc="http://schemas.openxmlformats.org/markup-compatibility/2006">
    <mc:Choice Requires="x15">
      <x15ac:absPath xmlns:x15ac="http://schemas.microsoft.com/office/spreadsheetml/2010/11/ac" url="C:\Users\anna.cimmino\Downloads\"/>
    </mc:Choice>
  </mc:AlternateContent>
  <xr:revisionPtr revIDLastSave="0" documentId="13_ncr:1_{23740D4C-55F8-45F9-8A1D-B0CC402A4039}" xr6:coauthVersionLast="47" xr6:coauthVersionMax="47" xr10:uidLastSave="{00000000-0000-0000-0000-000000000000}"/>
  <bookViews>
    <workbookView xWindow="-120" yWindow="-120" windowWidth="29040" windowHeight="15840" tabRatio="654" activeTab="1" xr2:uid="{7B31564D-F54C-4C06-9849-1A29DA9FBD02}"/>
  </bookViews>
  <sheets>
    <sheet name="XCHR" sheetId="13" r:id="rId1"/>
    <sheet name="Detector - EMPANADE" sheetId="12"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2" l="1"/>
  <c r="I28" i="12"/>
  <c r="K14" i="12"/>
  <c r="K13" i="12"/>
  <c r="J14" i="12"/>
  <c r="J13" i="12"/>
  <c r="L20" i="12"/>
  <c r="K20" i="12"/>
  <c r="J20" i="12"/>
  <c r="I20" i="12"/>
  <c r="J29" i="12"/>
  <c r="K28" i="12"/>
  <c r="J28" i="12"/>
  <c r="F28" i="12"/>
  <c r="K29" i="12"/>
  <c r="J10" i="12"/>
  <c r="J12" i="12"/>
  <c r="J11" i="12"/>
  <c r="L4" i="12"/>
  <c r="K4" i="12"/>
  <c r="J4" i="12"/>
  <c r="I4" i="12"/>
  <c r="L5" i="12"/>
  <c r="K5" i="12"/>
  <c r="J5" i="12"/>
  <c r="K25" i="12"/>
  <c r="L21" i="12"/>
  <c r="K21" i="12"/>
  <c r="J21" i="12"/>
  <c r="K6" i="12"/>
  <c r="J6" i="12"/>
  <c r="L22" i="12"/>
  <c r="K22" i="12"/>
  <c r="J22" i="12"/>
  <c r="J17" i="12"/>
  <c r="J16" i="12"/>
  <c r="K15" i="12"/>
  <c r="K7" i="12"/>
  <c r="J7" i="12"/>
  <c r="G29" i="12"/>
  <c r="H29" i="12" s="1"/>
  <c r="H28" i="12"/>
  <c r="G28" i="12"/>
  <c r="G30" i="12" s="1"/>
  <c r="H30" i="12" s="1"/>
  <c r="F25" i="12"/>
  <c r="G25" i="12" s="1"/>
  <c r="G22" i="12"/>
  <c r="H22" i="12" s="1"/>
  <c r="G21" i="12"/>
  <c r="H21" i="12" s="1"/>
  <c r="G20" i="12"/>
  <c r="G17" i="12"/>
  <c r="H17" i="12" s="1"/>
  <c r="G16" i="12"/>
  <c r="H16" i="12" s="1"/>
  <c r="G15" i="12"/>
  <c r="H15" i="12" s="1"/>
  <c r="G14" i="12"/>
  <c r="H14" i="12" s="1"/>
  <c r="G13" i="12"/>
  <c r="H13" i="12" s="1"/>
  <c r="G12" i="12"/>
  <c r="H12" i="12" s="1"/>
  <c r="G11" i="12"/>
  <c r="G10" i="12"/>
  <c r="H10" i="12" s="1"/>
  <c r="G7" i="12"/>
  <c r="H7" i="12" s="1"/>
  <c r="G6" i="12"/>
  <c r="G5" i="12"/>
  <c r="H5" i="12" s="1"/>
  <c r="G4" i="12"/>
  <c r="H4" i="12" s="1"/>
  <c r="G34" i="12" l="1"/>
  <c r="H6" i="12"/>
  <c r="H8" i="12" s="1"/>
  <c r="G18" i="12"/>
  <c r="G23" i="12"/>
  <c r="H23" i="12" s="1"/>
  <c r="H20" i="12"/>
  <c r="H35" i="12"/>
  <c r="H25" i="12"/>
  <c r="H34" i="12" s="1"/>
  <c r="G26" i="12"/>
  <c r="H26" i="12" s="1"/>
  <c r="G35" i="12"/>
  <c r="G8" i="12"/>
  <c r="G32" i="12" s="1"/>
  <c r="H11" i="12"/>
  <c r="H18" i="12" s="1"/>
  <c r="H32" i="12" s="1"/>
  <c r="G33" i="12"/>
  <c r="H33" i="12" l="1"/>
</calcChain>
</file>

<file path=xl/sharedStrings.xml><?xml version="1.0" encoding="utf-8"?>
<sst xmlns="http://schemas.openxmlformats.org/spreadsheetml/2006/main" count="88" uniqueCount="59">
  <si>
    <t>Exchange rate CZK/CHF</t>
  </si>
  <si>
    <t>Cost category</t>
  </si>
  <si>
    <t>Organization</t>
  </si>
  <si>
    <t>Type</t>
  </si>
  <si>
    <t>Amount (personal cost/month, price)</t>
  </si>
  <si>
    <t>Total (CZK)</t>
  </si>
  <si>
    <t>Total (CHF)</t>
  </si>
  <si>
    <t>2025 (CZK)</t>
  </si>
  <si>
    <t>2026 (CZK)</t>
  </si>
  <si>
    <t>2027 (CZK)</t>
  </si>
  <si>
    <t>2028 (CZK)</t>
  </si>
  <si>
    <t>Note</t>
  </si>
  <si>
    <t>Personnel</t>
  </si>
  <si>
    <t>ELI</t>
  </si>
  <si>
    <t xml:space="preserve">PhD student </t>
  </si>
  <si>
    <t>PSI</t>
  </si>
  <si>
    <t>Junior</t>
  </si>
  <si>
    <t>Personnel TOTAL</t>
  </si>
  <si>
    <t>Equipment</t>
  </si>
  <si>
    <t>Equipment TOTAL</t>
  </si>
  <si>
    <t>Consumables</t>
  </si>
  <si>
    <t>Consumables TOTAL</t>
  </si>
  <si>
    <t>Services</t>
  </si>
  <si>
    <t>Services TOTAL</t>
  </si>
  <si>
    <t>Travel</t>
  </si>
  <si>
    <t>ELI (+PSI)</t>
  </si>
  <si>
    <t>Short visits (1-5 days) - No of visits</t>
  </si>
  <si>
    <t>Long visits (more than 4 weeks) - No of months</t>
  </si>
  <si>
    <t>Travel TOTAL</t>
  </si>
  <si>
    <t>Project TOTAL</t>
  </si>
  <si>
    <t>Project Total ELI</t>
  </si>
  <si>
    <t>Project Total PSI</t>
  </si>
  <si>
    <t xml:space="preserve">Consumables </t>
  </si>
  <si>
    <t>Proposed costs of WP1 - detector project 3 (ElectroMagnetic Photon and Neutron Active DEtectors (EMPANADE))</t>
  </si>
  <si>
    <t>Unit ( Personnel [personmonth] ; Equipment [pieces] ; Travels [days] )</t>
  </si>
  <si>
    <t xml:space="preserve">Participating in planning implementation of data taking and comparison, Monte Carlo simulations for experiments, design and implmentation on upgraded detectors, calibration and testing of detectors, data anlysis etc. Calculation is based on salary grid of ELI Beamlines (person/month). </t>
  </si>
  <si>
    <t xml:space="preserve">Participating in planning implementation of data taking and comparison, Monte Carlo simulations for experiments, design and implmentation on upgraded detectors, calibration and testing of detectors, data anlysis etc. </t>
  </si>
  <si>
    <t>Characterization and testing of the BSS extention for pulsed fields. Calculation is based on salary grid of PSI (person/month).</t>
  </si>
  <si>
    <t>CHUV</t>
  </si>
  <si>
    <t>Programming of signal acquisition and data processing. Calculation is based on salary grid of CHUV (person/month).</t>
  </si>
  <si>
    <t>Software licenses</t>
  </si>
  <si>
    <t>Simluations and data anlysis.</t>
  </si>
  <si>
    <t>Gamma detector</t>
  </si>
  <si>
    <t>Nuasicaa ion chamber: ICP-T-PF and SATURN modules: gamma radiation monitoring unit for pulsed radiationfields</t>
  </si>
  <si>
    <t>Neutron detector</t>
  </si>
  <si>
    <t>LUPIN and SATURN modules:  neutron radiation monitoring unit for pulsed radiationfields</t>
  </si>
  <si>
    <t>Scintillator detectors readout</t>
  </si>
  <si>
    <t>This is not 1 unit but rather made of many small components</t>
  </si>
  <si>
    <t>Scintillator detectors crystals</t>
  </si>
  <si>
    <t>compact neutron spectrometer</t>
  </si>
  <si>
    <t>Equipment needed for measurements described in the project proposal and calibration of the upgraded detectors at CHUV (3.1.5).</t>
  </si>
  <si>
    <t>ionisation chamber + electronics</t>
  </si>
  <si>
    <t>diamond detector + electronics</t>
  </si>
  <si>
    <t>Various</t>
  </si>
  <si>
    <t xml:space="preserve">Different items related to  calibration and delivery of experiments </t>
  </si>
  <si>
    <t>Calibration in quasi-monoenergetic fields (e. g. PTB)</t>
  </si>
  <si>
    <t>Visits of project team members (BL, PSI) and CHUV) during the project duration. Calculation refers to 20 x 5-day trip: transport (700 CHF) + accommodation (150 CHF/day)  + per diem (75 CHF/day)</t>
  </si>
  <si>
    <t>Based on monthly calculation of 6211 CHF for young scientist within Horizon projects. Proposed: 1 visits/job shadowing in duration of 2 months</t>
  </si>
  <si>
    <t>Project Total CHUV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</si>
</sst>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č&quot;;[Red]\-#,##0\ &quot;Kč&quot;"/>
    <numFmt numFmtId="165" formatCode="#,##0.00\ &quot;Kč&quot;;[Red]\-#,##0.00\ &quot;Kč&quot;"/>
    <numFmt numFmtId="166" formatCode="_-* #,##0.00\ [$Kč-405]_-;\-* #,##0.00\ [$Kč-405]_-;_-* &quot;-&quot;??\ [$Kč-405]_-;_-@_-"/>
    <numFmt numFmtId="167" formatCode="_-* #,##0.00\ [$CHF]_-;\-* #,##0.00\ [$CHF]_-;_-* &quot;-&quot;??\ [$CHF]_-;_-@_-"/>
    <numFmt numFmtId="171" formatCode="_([$CHF]\ * #,##0.00_);_([$CHF]\ * \(#,##0.00\);_([$CHF]\ * &quot;-&quot;??_);_(@_)"/>
    <numFmt numFmtId="178" formatCode="_([$CZK]\ * #,##0.00_);_([$CZK]\ * \(#,##0.00\);_([$CZK]\ * &quot;-&quot;??_);_(@_)"/>
  </numFmts>
  <fonts count="10"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1"/>
      <color rgb="FFC00000"/>
      <name val="Calibri"/>
      <family val="2"/>
      <scheme val="minor"/>
    </font>
    <font>
      <sz val="11"/>
      <color rgb="FF000000"/>
      <name val="Calibri"/>
      <family val="2"/>
    </font>
    <font>
      <sz val="11"/>
      <name val="Calibri"/>
      <family val="2"/>
    </font>
    <font>
      <b/>
      <sz val="11"/>
      <color rgb="FF000000"/>
      <name val="Calibri"/>
      <family val="2"/>
    </font>
    <font>
      <sz val="11"/>
      <name val="Calibri"/>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BC2E6"/>
        <bgColor rgb="FF000000"/>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98">
    <xf numFmtId="0" fontId="0" fillId="0" borderId="0" xfId="0"/>
    <xf numFmtId="0" fontId="1" fillId="0" borderId="0" xfId="0" applyFont="1"/>
    <xf numFmtId="0" fontId="2" fillId="0" borderId="1" xfId="0" applyFont="1" applyBorder="1" applyAlignment="1">
      <alignment vertical="center"/>
    </xf>
    <xf numFmtId="0" fontId="0" fillId="0" borderId="1" xfId="0" applyBorder="1" applyAlignment="1">
      <alignment horizontal="justify" vertical="center"/>
    </xf>
    <xf numFmtId="0" fontId="3" fillId="0" borderId="1" xfId="0" applyFont="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0" fillId="0" borderId="1" xfId="0" applyBorder="1" applyAlignment="1">
      <alignment horizontal="justify" vertical="center" wrapText="1"/>
    </xf>
    <xf numFmtId="0" fontId="4" fillId="0" borderId="0" xfId="1"/>
    <xf numFmtId="0" fontId="0" fillId="3" borderId="1" xfId="0" applyFill="1" applyBorder="1" applyAlignment="1">
      <alignment horizontal="justify" vertical="center"/>
    </xf>
    <xf numFmtId="0" fontId="2" fillId="3" borderId="1" xfId="0" applyFont="1" applyFill="1" applyBorder="1" applyAlignment="1">
      <alignment vertical="center"/>
    </xf>
    <xf numFmtId="0" fontId="2" fillId="4" borderId="1" xfId="0" applyFont="1" applyFill="1" applyBorder="1" applyAlignment="1">
      <alignment vertical="center"/>
    </xf>
    <xf numFmtId="0" fontId="0" fillId="3" borderId="1" xfId="0" applyFill="1" applyBorder="1" applyAlignment="1">
      <alignment horizontal="justify" vertical="center" wrapText="1"/>
    </xf>
    <xf numFmtId="0" fontId="2" fillId="5" borderId="1" xfId="0" applyFont="1" applyFill="1" applyBorder="1" applyAlignment="1">
      <alignment vertical="center"/>
    </xf>
    <xf numFmtId="0" fontId="8" fillId="6" borderId="1" xfId="0" applyFont="1" applyFill="1" applyBorder="1" applyAlignment="1">
      <alignment wrapText="1"/>
    </xf>
    <xf numFmtId="0" fontId="0" fillId="0" borderId="1" xfId="0" applyBorder="1" applyAlignment="1">
      <alignment horizontal="center" vertical="center" wrapText="1"/>
    </xf>
    <xf numFmtId="171" fontId="0" fillId="0" borderId="0" xfId="0" applyNumberFormat="1"/>
    <xf numFmtId="0" fontId="2" fillId="0" borderId="4" xfId="0" applyFont="1" applyBorder="1" applyAlignment="1">
      <alignment vertical="center"/>
    </xf>
    <xf numFmtId="0" fontId="0" fillId="0" borderId="1" xfId="0" applyBorder="1" applyAlignment="1">
      <alignment horizontal="center" vertical="center"/>
    </xf>
    <xf numFmtId="0" fontId="0" fillId="7" borderId="1" xfId="0" applyFill="1" applyBorder="1" applyAlignment="1">
      <alignment horizontal="justify" vertical="center" wrapText="1"/>
    </xf>
    <xf numFmtId="166" fontId="2" fillId="4" borderId="1" xfId="0" applyNumberFormat="1" applyFont="1" applyFill="1" applyBorder="1" applyAlignment="1">
      <alignment vertical="center"/>
    </xf>
    <xf numFmtId="166" fontId="2" fillId="3" borderId="1" xfId="0" applyNumberFormat="1" applyFont="1" applyFill="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6" fillId="0" borderId="4" xfId="0" applyFont="1" applyBorder="1" applyAlignment="1">
      <alignment horizontal="center" wrapText="1"/>
    </xf>
    <xf numFmtId="0" fontId="6" fillId="0" borderId="1" xfId="0" applyFont="1" applyBorder="1"/>
    <xf numFmtId="0" fontId="2" fillId="0" borderId="14" xfId="0" applyFont="1" applyBorder="1" applyAlignment="1">
      <alignment vertical="center"/>
    </xf>
    <xf numFmtId="0" fontId="0" fillId="0" borderId="14" xfId="0" applyBorder="1" applyAlignment="1">
      <alignment horizontal="justify" vertical="center"/>
    </xf>
    <xf numFmtId="0" fontId="3" fillId="0" borderId="14" xfId="0" applyFont="1" applyBorder="1" applyAlignment="1">
      <alignment vertical="center"/>
    </xf>
    <xf numFmtId="0" fontId="0" fillId="3" borderId="14" xfId="0" applyFill="1" applyBorder="1" applyAlignment="1">
      <alignment horizontal="justify" vertical="center" wrapText="1"/>
    </xf>
    <xf numFmtId="0" fontId="0" fillId="0" borderId="18" xfId="0" applyBorder="1"/>
    <xf numFmtId="0" fontId="0" fillId="0" borderId="19" xfId="0" applyBorder="1"/>
    <xf numFmtId="0" fontId="0" fillId="0" borderId="2" xfId="0" applyBorder="1"/>
    <xf numFmtId="164" fontId="0" fillId="0" borderId="1" xfId="0" applyNumberFormat="1" applyBorder="1" applyAlignment="1">
      <alignment horizontal="center" vertical="center"/>
    </xf>
    <xf numFmtId="4" fontId="6" fillId="0" borderId="7" xfId="0" applyNumberFormat="1" applyFont="1" applyBorder="1" applyAlignment="1">
      <alignment horizontal="center" wrapText="1"/>
    </xf>
    <xf numFmtId="0" fontId="3" fillId="2" borderId="14" xfId="0" applyFont="1" applyFill="1" applyBorder="1" applyAlignment="1">
      <alignment vertical="center"/>
    </xf>
    <xf numFmtId="0" fontId="3" fillId="2" borderId="15" xfId="0" applyFont="1" applyFill="1" applyBorder="1" applyAlignment="1">
      <alignment vertical="center"/>
    </xf>
    <xf numFmtId="0" fontId="5" fillId="0" borderId="0" xfId="0" applyFont="1" applyAlignment="1">
      <alignment vertical="center" wrapText="1"/>
    </xf>
    <xf numFmtId="0" fontId="6" fillId="0" borderId="4" xfId="0" applyFont="1" applyBorder="1"/>
    <xf numFmtId="0" fontId="6" fillId="0" borderId="4"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2" fillId="4" borderId="14" xfId="0" applyFont="1" applyFill="1" applyBorder="1" applyAlignment="1">
      <alignment vertical="center"/>
    </xf>
    <xf numFmtId="0" fontId="2" fillId="5" borderId="16" xfId="0" applyFont="1" applyFill="1" applyBorder="1" applyAlignment="1">
      <alignment vertical="center"/>
    </xf>
    <xf numFmtId="166" fontId="2" fillId="5" borderId="3" xfId="0" applyNumberFormat="1" applyFont="1" applyFill="1" applyBorder="1" applyAlignment="1">
      <alignment vertical="center"/>
    </xf>
    <xf numFmtId="165" fontId="0" fillId="0" borderId="0" xfId="0" applyNumberFormat="1"/>
    <xf numFmtId="166" fontId="0" fillId="0" borderId="0" xfId="0" applyNumberFormat="1"/>
    <xf numFmtId="0" fontId="6" fillId="0" borderId="4" xfId="0" applyFont="1" applyBorder="1" applyAlignment="1">
      <alignment wrapText="1"/>
    </xf>
    <xf numFmtId="0" fontId="9" fillId="7" borderId="15" xfId="0" applyFont="1" applyFill="1" applyBorder="1" applyAlignment="1">
      <alignment vertical="center" wrapText="1"/>
    </xf>
    <xf numFmtId="0" fontId="0" fillId="7" borderId="15" xfId="0" applyFill="1" applyBorder="1" applyAlignment="1">
      <alignment wrapText="1"/>
    </xf>
    <xf numFmtId="0" fontId="7" fillId="7" borderId="17" xfId="0" applyFont="1" applyFill="1" applyBorder="1" applyAlignment="1">
      <alignment wrapText="1"/>
    </xf>
    <xf numFmtId="0" fontId="0" fillId="7" borderId="15" xfId="0" applyFill="1" applyBorder="1" applyAlignment="1">
      <alignment horizontal="justify" vertical="center" wrapText="1"/>
    </xf>
    <xf numFmtId="0" fontId="0" fillId="7" borderId="15" xfId="0" applyFill="1" applyBorder="1"/>
    <xf numFmtId="0" fontId="9" fillId="7" borderId="15" xfId="0" applyFont="1" applyFill="1" applyBorder="1" applyAlignment="1">
      <alignment wrapText="1"/>
    </xf>
    <xf numFmtId="166" fontId="2" fillId="7" borderId="1" xfId="0" applyNumberFormat="1" applyFont="1" applyFill="1" applyBorder="1" applyAlignment="1">
      <alignment vertical="center"/>
    </xf>
    <xf numFmtId="164" fontId="0" fillId="7" borderId="1" xfId="0" applyNumberFormat="1" applyFill="1" applyBorder="1" applyAlignment="1">
      <alignment horizontal="right" vertical="center"/>
    </xf>
    <xf numFmtId="167" fontId="0" fillId="7" borderId="1" xfId="0" applyNumberFormat="1" applyFill="1" applyBorder="1" applyAlignment="1">
      <alignment horizontal="right" vertical="center"/>
    </xf>
    <xf numFmtId="0" fontId="6" fillId="7" borderId="15" xfId="0" applyFont="1" applyFill="1" applyBorder="1" applyAlignment="1">
      <alignment wrapText="1"/>
    </xf>
    <xf numFmtId="0" fontId="0" fillId="7" borderId="18" xfId="0" applyFill="1" applyBorder="1" applyAlignment="1">
      <alignment wrapText="1"/>
    </xf>
    <xf numFmtId="166" fontId="3" fillId="7" borderId="1" xfId="0" applyNumberFormat="1" applyFont="1" applyFill="1" applyBorder="1" applyAlignment="1">
      <alignment horizontal="right" vertical="center"/>
    </xf>
    <xf numFmtId="167" fontId="1" fillId="7" borderId="1" xfId="0" applyNumberFormat="1" applyFont="1" applyFill="1" applyBorder="1" applyAlignment="1">
      <alignment horizontal="right" vertical="center"/>
    </xf>
    <xf numFmtId="167" fontId="3" fillId="7" borderId="1" xfId="0" applyNumberFormat="1" applyFont="1" applyFill="1" applyBorder="1" applyAlignment="1">
      <alignment horizontal="right" vertical="center"/>
    </xf>
    <xf numFmtId="0" fontId="9" fillId="7" borderId="15" xfId="0" applyFont="1" applyFill="1" applyBorder="1"/>
    <xf numFmtId="166" fontId="3" fillId="7" borderId="4" xfId="0" applyNumberFormat="1" applyFont="1" applyFill="1" applyBorder="1" applyAlignment="1">
      <alignment horizontal="right" vertical="center"/>
    </xf>
    <xf numFmtId="167" fontId="1" fillId="7" borderId="4" xfId="0" applyNumberFormat="1" applyFont="1" applyFill="1" applyBorder="1" applyAlignment="1">
      <alignment horizontal="right" vertical="center"/>
    </xf>
    <xf numFmtId="0" fontId="2" fillId="7" borderId="1" xfId="0" applyFont="1" applyFill="1" applyBorder="1" applyAlignment="1">
      <alignment vertical="center"/>
    </xf>
    <xf numFmtId="3" fontId="3" fillId="7" borderId="1" xfId="0" applyNumberFormat="1" applyFont="1" applyFill="1" applyBorder="1" applyAlignment="1">
      <alignment horizontal="right" vertical="center"/>
    </xf>
    <xf numFmtId="167" fontId="2" fillId="7" borderId="1" xfId="0" applyNumberFormat="1" applyFont="1" applyFill="1" applyBorder="1" applyAlignment="1">
      <alignment horizontal="right" vertical="center"/>
    </xf>
    <xf numFmtId="0" fontId="5" fillId="7" borderId="15" xfId="0" applyFont="1" applyFill="1" applyBorder="1" applyAlignment="1">
      <alignment horizontal="justify" vertical="center" wrapText="1"/>
    </xf>
    <xf numFmtId="166" fontId="3" fillId="7" borderId="1" xfId="0" applyNumberFormat="1" applyFont="1" applyFill="1" applyBorder="1" applyAlignment="1">
      <alignment vertical="center"/>
    </xf>
    <xf numFmtId="4" fontId="0" fillId="7" borderId="1" xfId="0" applyNumberFormat="1" applyFill="1" applyBorder="1" applyAlignment="1">
      <alignment horizontal="right" vertical="center"/>
    </xf>
    <xf numFmtId="167" fontId="0" fillId="7" borderId="15" xfId="0" applyNumberFormat="1" applyFill="1" applyBorder="1"/>
    <xf numFmtId="0" fontId="3" fillId="2" borderId="6" xfId="0" applyFont="1" applyFill="1" applyBorder="1" applyAlignment="1">
      <alignment horizontal="center" vertical="center"/>
    </xf>
    <xf numFmtId="178" fontId="0" fillId="7" borderId="6" xfId="0" applyNumberFormat="1" applyFill="1" applyBorder="1" applyAlignment="1">
      <alignment horizontal="right" vertical="center"/>
    </xf>
    <xf numFmtId="178" fontId="1" fillId="7" borderId="6" xfId="0" applyNumberFormat="1" applyFont="1" applyFill="1" applyBorder="1" applyAlignment="1">
      <alignment horizontal="right" vertical="center"/>
    </xf>
    <xf numFmtId="178" fontId="3" fillId="7" borderId="6" xfId="0" applyNumberFormat="1" applyFont="1" applyFill="1" applyBorder="1" applyAlignment="1">
      <alignment horizontal="right" vertical="center"/>
    </xf>
    <xf numFmtId="178" fontId="0" fillId="7" borderId="10" xfId="0" applyNumberFormat="1" applyFill="1" applyBorder="1" applyAlignment="1">
      <alignment horizontal="right" vertical="center"/>
    </xf>
    <xf numFmtId="178" fontId="1" fillId="7" borderId="9" xfId="0" applyNumberFormat="1" applyFont="1" applyFill="1" applyBorder="1" applyAlignment="1">
      <alignment horizontal="right" vertical="center"/>
    </xf>
    <xf numFmtId="178" fontId="2" fillId="7" borderId="6" xfId="0" applyNumberFormat="1" applyFont="1" applyFill="1" applyBorder="1" applyAlignment="1">
      <alignment horizontal="right" vertical="center"/>
    </xf>
    <xf numFmtId="178" fontId="0" fillId="7" borderId="5" xfId="0" applyNumberFormat="1" applyFill="1" applyBorder="1" applyAlignment="1">
      <alignment horizontal="right" vertical="center"/>
    </xf>
    <xf numFmtId="167" fontId="0" fillId="7" borderId="6" xfId="0" applyNumberFormat="1" applyFill="1" applyBorder="1" applyAlignment="1">
      <alignment horizontal="right" vertical="center"/>
    </xf>
    <xf numFmtId="178" fontId="0" fillId="3" borderId="5" xfId="0" applyNumberFormat="1" applyFill="1" applyBorder="1" applyAlignment="1">
      <alignment horizontal="right" vertical="center"/>
    </xf>
    <xf numFmtId="167" fontId="0" fillId="4" borderId="5" xfId="0" applyNumberFormat="1" applyFill="1" applyBorder="1" applyAlignment="1">
      <alignment horizontal="right" vertical="center"/>
    </xf>
    <xf numFmtId="167" fontId="0" fillId="5" borderId="5" xfId="0" applyNumberFormat="1" applyFill="1" applyBorder="1" applyAlignment="1">
      <alignment horizontal="right" vertical="center"/>
    </xf>
    <xf numFmtId="167" fontId="0" fillId="3" borderId="6" xfId="0" applyNumberFormat="1" applyFill="1" applyBorder="1" applyAlignment="1">
      <alignment horizontal="right" vertical="center"/>
    </xf>
    <xf numFmtId="167" fontId="0" fillId="4" borderId="6" xfId="0" applyNumberFormat="1" applyFill="1" applyBorder="1" applyAlignment="1">
      <alignment horizontal="right" vertical="center"/>
    </xf>
    <xf numFmtId="167" fontId="0" fillId="5" borderId="21" xfId="0" applyNumberFormat="1" applyFill="1" applyBorder="1" applyAlignment="1">
      <alignment horizontal="right" vertical="center"/>
    </xf>
    <xf numFmtId="178" fontId="1" fillId="7" borderId="10" xfId="0" applyNumberFormat="1" applyFont="1" applyFill="1" applyBorder="1" applyAlignment="1">
      <alignment horizontal="right" vertical="center"/>
    </xf>
    <xf numFmtId="178" fontId="0" fillId="7" borderId="22" xfId="0" applyNumberFormat="1" applyFill="1" applyBorder="1" applyAlignment="1">
      <alignment horizontal="right" vertical="center"/>
    </xf>
    <xf numFmtId="166" fontId="2" fillId="0" borderId="1" xfId="0" applyNumberFormat="1" applyFont="1" applyBorder="1" applyAlignment="1">
      <alignment horizontal="center" vertical="center"/>
    </xf>
    <xf numFmtId="0" fontId="1"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7" borderId="20" xfId="0" applyFill="1" applyBorder="1" applyAlignment="1">
      <alignment wrapText="1"/>
    </xf>
    <xf numFmtId="0" fontId="0" fillId="7" borderId="18" xfId="0" applyFill="1" applyBorder="1" applyAlignment="1">
      <alignment wrapText="1"/>
    </xf>
    <xf numFmtId="0" fontId="0" fillId="7" borderId="17"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6600"/>
      <color rgb="FF66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lieric316-my.sharepoint.com/personal/zeljka_skocilic_eli-laser_eu/Documents/Documents%20(1)/Swiss%20Funds/SWISSELITE_Budget_07102024_draft.xlsx" TargetMode="External"/><Relationship Id="rId1" Type="http://schemas.openxmlformats.org/officeDocument/2006/relationships/externalLinkPath" Target="https://elieric316-my.sharepoint.com/personal/zeljka_skocilic_eli-laser_eu/Documents/Documents%20(1)/Swiss%20Funds/SWISSELITE_Budget_07102024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XCHR"/>
      <sheetName val="Detector - TREX"/>
      <sheetName val="Detector - LUSTER"/>
      <sheetName val="Detector - EMPANADE"/>
      <sheetName val="1 Detectors-ALL"/>
      <sheetName val="2 User program"/>
      <sheetName val="3 Innovations"/>
      <sheetName val="Components total"/>
    </sheetNames>
    <sheetDataSet>
      <sheetData sheetId="0">
        <row r="1">
          <cell r="B1">
            <v>26.417999999999999</v>
          </cell>
        </row>
      </sheetData>
      <sheetData sheetId="1">
        <row r="4">
          <cell r="G4">
            <v>3430350</v>
          </cell>
        </row>
      </sheetData>
      <sheetData sheetId="2">
        <row r="4">
          <cell r="G4">
            <v>2940300</v>
          </cell>
        </row>
      </sheetData>
      <sheetData sheetId="3">
        <row r="4">
          <cell r="G4">
            <v>2940300</v>
          </cell>
        </row>
      </sheetData>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8714C-BC55-4DD7-9E35-F4403FABF810}">
  <dimension ref="A1:B2"/>
  <sheetViews>
    <sheetView workbookViewId="0">
      <selection activeCell="B1" sqref="B1"/>
    </sheetView>
  </sheetViews>
  <sheetFormatPr defaultColWidth="8.7109375" defaultRowHeight="15" x14ac:dyDescent="0.25"/>
  <cols>
    <col min="1" max="1" width="32.28515625" customWidth="1"/>
  </cols>
  <sheetData>
    <row r="1" spans="1:2" x14ac:dyDescent="0.25">
      <c r="A1" t="s">
        <v>0</v>
      </c>
      <c r="B1" s="1">
        <v>26.417999999999999</v>
      </c>
    </row>
    <row r="2" spans="1:2" x14ac:dyDescent="0.25">
      <c r="A2"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F5A6-E389-4859-AAA5-9DE6E84FFADC}">
  <dimension ref="B1:N38"/>
  <sheetViews>
    <sheetView tabSelected="1" topLeftCell="B1" zoomScale="77" zoomScaleNormal="77" workbookViewId="0">
      <selection activeCell="E40" sqref="E40"/>
    </sheetView>
  </sheetViews>
  <sheetFormatPr defaultColWidth="8.7109375" defaultRowHeight="15" customHeight="1" x14ac:dyDescent="0.25"/>
  <cols>
    <col min="2" max="2" width="18.7109375" customWidth="1"/>
    <col min="3" max="3" width="12.140625" customWidth="1"/>
    <col min="4" max="4" width="35.5703125" customWidth="1"/>
    <col min="5" max="5" width="18.42578125" customWidth="1"/>
    <col min="6" max="6" width="16.28515625" customWidth="1"/>
    <col min="7" max="7" width="18.7109375" customWidth="1"/>
    <col min="8" max="12" width="23.42578125" customWidth="1"/>
    <col min="13" max="13" width="74.42578125" customWidth="1"/>
  </cols>
  <sheetData>
    <row r="1" spans="2:14" ht="15.75" thickBot="1" x14ac:dyDescent="0.3"/>
    <row r="2" spans="2:14" ht="43.9" customHeight="1" x14ac:dyDescent="0.25">
      <c r="B2" s="92" t="s">
        <v>33</v>
      </c>
      <c r="C2" s="93"/>
      <c r="D2" s="93"/>
      <c r="E2" s="93"/>
      <c r="F2" s="93"/>
      <c r="G2" s="93"/>
      <c r="H2" s="93"/>
      <c r="I2" s="93"/>
      <c r="J2" s="93"/>
      <c r="K2" s="93"/>
      <c r="L2" s="93"/>
      <c r="M2" s="94"/>
    </row>
    <row r="3" spans="2:14" ht="65.25" customHeight="1" x14ac:dyDescent="0.25">
      <c r="B3" s="36" t="s">
        <v>1</v>
      </c>
      <c r="C3" s="5" t="s">
        <v>2</v>
      </c>
      <c r="D3" s="5" t="s">
        <v>3</v>
      </c>
      <c r="E3" s="14" t="s">
        <v>34</v>
      </c>
      <c r="F3" s="6" t="s">
        <v>4</v>
      </c>
      <c r="G3" s="5" t="s">
        <v>5</v>
      </c>
      <c r="H3" s="5" t="s">
        <v>6</v>
      </c>
      <c r="I3" s="74" t="s">
        <v>7</v>
      </c>
      <c r="J3" s="74" t="s">
        <v>8</v>
      </c>
      <c r="K3" s="74" t="s">
        <v>9</v>
      </c>
      <c r="L3" s="74" t="s">
        <v>10</v>
      </c>
      <c r="M3" s="37" t="s">
        <v>11</v>
      </c>
    </row>
    <row r="4" spans="2:14" ht="65.25" customHeight="1" x14ac:dyDescent="0.25">
      <c r="B4" s="27" t="s">
        <v>12</v>
      </c>
      <c r="C4" s="9" t="s">
        <v>13</v>
      </c>
      <c r="D4" s="3" t="s">
        <v>14</v>
      </c>
      <c r="E4" s="18">
        <v>36</v>
      </c>
      <c r="F4" s="34">
        <v>81675</v>
      </c>
      <c r="G4" s="57">
        <f>E4*F4</f>
        <v>2940300</v>
      </c>
      <c r="H4" s="58">
        <f>G4/[1]XCHR!$B$1</f>
        <v>111299.11424029071</v>
      </c>
      <c r="I4" s="75">
        <f>F4*3</f>
        <v>245025</v>
      </c>
      <c r="J4" s="75">
        <f>F4*12</f>
        <v>980100</v>
      </c>
      <c r="K4" s="75">
        <f>F4*12</f>
        <v>980100</v>
      </c>
      <c r="L4" s="75">
        <f>F4*9</f>
        <v>735075</v>
      </c>
      <c r="M4" s="50" t="s">
        <v>35</v>
      </c>
      <c r="N4" s="38"/>
    </row>
    <row r="5" spans="2:14" ht="65.25" customHeight="1" x14ac:dyDescent="0.25">
      <c r="B5" s="27"/>
      <c r="C5" s="9" t="s">
        <v>13</v>
      </c>
      <c r="D5" s="3" t="s">
        <v>16</v>
      </c>
      <c r="E5" s="18">
        <v>24</v>
      </c>
      <c r="F5" s="34">
        <v>106178</v>
      </c>
      <c r="G5" s="57">
        <f>F5*E5</f>
        <v>2548272</v>
      </c>
      <c r="H5" s="58">
        <f>G5/[1]XCHR!$B$1</f>
        <v>96459.686577333632</v>
      </c>
      <c r="I5" s="75"/>
      <c r="J5" s="75">
        <f>F5*6</f>
        <v>637068</v>
      </c>
      <c r="K5" s="75">
        <f>F5*12</f>
        <v>1274136</v>
      </c>
      <c r="L5" s="75">
        <f>F5*6</f>
        <v>637068</v>
      </c>
      <c r="M5" s="50" t="s">
        <v>36</v>
      </c>
    </row>
    <row r="6" spans="2:14" ht="41.25" customHeight="1" x14ac:dyDescent="0.25">
      <c r="B6" s="28"/>
      <c r="C6" s="11" t="s">
        <v>15</v>
      </c>
      <c r="D6" s="3" t="s">
        <v>16</v>
      </c>
      <c r="E6" s="18">
        <v>12</v>
      </c>
      <c r="F6" s="34">
        <v>302856</v>
      </c>
      <c r="G6" s="57">
        <f>F6*E6</f>
        <v>3634272</v>
      </c>
      <c r="H6" s="58">
        <f>G6/[1]XCHR!$B$1</f>
        <v>137568.02180331593</v>
      </c>
      <c r="I6" s="78"/>
      <c r="J6" s="78">
        <f>F6*6</f>
        <v>1817136</v>
      </c>
      <c r="K6" s="78">
        <f>F6*6</f>
        <v>1817136</v>
      </c>
      <c r="L6" s="78"/>
      <c r="M6" s="59" t="s">
        <v>37</v>
      </c>
    </row>
    <row r="7" spans="2:14" ht="32.25" customHeight="1" x14ac:dyDescent="0.25">
      <c r="B7" s="28"/>
      <c r="C7" s="13" t="s">
        <v>38</v>
      </c>
      <c r="D7" s="3" t="s">
        <v>16</v>
      </c>
      <c r="E7" s="18">
        <v>5</v>
      </c>
      <c r="F7" s="34">
        <v>308210</v>
      </c>
      <c r="G7" s="57">
        <f>F7*E7</f>
        <v>1541050</v>
      </c>
      <c r="H7" s="82">
        <f>G7/[1]XCHR!$B$1</f>
        <v>58333.333333333336</v>
      </c>
      <c r="I7" s="81"/>
      <c r="J7" s="81">
        <f>F7*2.5</f>
        <v>770525</v>
      </c>
      <c r="K7" s="81">
        <f>F7*2.5</f>
        <v>770525</v>
      </c>
      <c r="L7" s="81"/>
      <c r="M7" s="60" t="s">
        <v>39</v>
      </c>
    </row>
    <row r="8" spans="2:14" ht="21" customHeight="1" x14ac:dyDescent="0.25">
      <c r="B8" s="29" t="s">
        <v>17</v>
      </c>
      <c r="C8" s="2"/>
      <c r="D8" s="2"/>
      <c r="E8" s="22"/>
      <c r="F8" s="22"/>
      <c r="G8" s="61">
        <f>SUM(G4:G7)</f>
        <v>10663894</v>
      </c>
      <c r="H8" s="62">
        <f>SUM(H4:H7)</f>
        <v>403660.15595427359</v>
      </c>
      <c r="I8" s="79"/>
      <c r="J8" s="79"/>
      <c r="K8" s="79"/>
      <c r="L8" s="79"/>
      <c r="M8" s="54"/>
    </row>
    <row r="9" spans="2:14" x14ac:dyDescent="0.25">
      <c r="B9" s="29"/>
      <c r="C9" s="2"/>
      <c r="D9" s="2"/>
      <c r="E9" s="22"/>
      <c r="F9" s="22"/>
      <c r="G9" s="61"/>
      <c r="H9" s="63"/>
      <c r="I9" s="77"/>
      <c r="J9" s="77"/>
      <c r="K9" s="77"/>
      <c r="L9" s="77"/>
      <c r="M9" s="54"/>
    </row>
    <row r="10" spans="2:14" ht="14.65" customHeight="1" x14ac:dyDescent="0.25">
      <c r="B10" s="27" t="s">
        <v>18</v>
      </c>
      <c r="C10" s="10" t="s">
        <v>13</v>
      </c>
      <c r="D10" s="2" t="s">
        <v>40</v>
      </c>
      <c r="E10" s="23">
        <v>1</v>
      </c>
      <c r="F10" s="23">
        <v>130000</v>
      </c>
      <c r="G10" s="56">
        <f t="shared" ref="G10:G17" si="0">E10*F10</f>
        <v>130000</v>
      </c>
      <c r="H10" s="58">
        <f>G10/[1]XCHR!$B$1</f>
        <v>4920.8872738284508</v>
      </c>
      <c r="I10" s="75"/>
      <c r="J10" s="75">
        <f>F10</f>
        <v>130000</v>
      </c>
      <c r="K10" s="75"/>
      <c r="L10" s="75"/>
      <c r="M10" s="64" t="s">
        <v>41</v>
      </c>
    </row>
    <row r="11" spans="2:14" ht="32.25" customHeight="1" x14ac:dyDescent="0.25">
      <c r="B11" s="27" t="s">
        <v>18</v>
      </c>
      <c r="C11" s="10" t="s">
        <v>13</v>
      </c>
      <c r="D11" s="2" t="s">
        <v>42</v>
      </c>
      <c r="E11" s="23">
        <v>1</v>
      </c>
      <c r="F11" s="23">
        <v>650000</v>
      </c>
      <c r="G11" s="56">
        <f t="shared" si="0"/>
        <v>650000</v>
      </c>
      <c r="H11" s="58">
        <f>G11/[1]XCHR!$B$1</f>
        <v>24604.436369142251</v>
      </c>
      <c r="I11" s="75"/>
      <c r="J11" s="75">
        <f>F11</f>
        <v>650000</v>
      </c>
      <c r="K11" s="75"/>
      <c r="L11" s="75"/>
      <c r="M11" s="51" t="s">
        <v>43</v>
      </c>
    </row>
    <row r="12" spans="2:14" ht="31.9" customHeight="1" x14ac:dyDescent="0.25">
      <c r="B12" s="27" t="s">
        <v>18</v>
      </c>
      <c r="C12" s="10" t="s">
        <v>13</v>
      </c>
      <c r="D12" s="2" t="s">
        <v>44</v>
      </c>
      <c r="E12" s="23">
        <v>1</v>
      </c>
      <c r="F12" s="23">
        <v>650000</v>
      </c>
      <c r="G12" s="56">
        <f t="shared" si="0"/>
        <v>650000</v>
      </c>
      <c r="H12" s="58">
        <f>G12/[1]XCHR!$B$1</f>
        <v>24604.436369142251</v>
      </c>
      <c r="I12" s="75"/>
      <c r="J12" s="75">
        <f>F12</f>
        <v>650000</v>
      </c>
      <c r="K12" s="75"/>
      <c r="L12" s="75"/>
      <c r="M12" s="51" t="s">
        <v>45</v>
      </c>
    </row>
    <row r="13" spans="2:14" x14ac:dyDescent="0.25">
      <c r="B13" s="27" t="s">
        <v>18</v>
      </c>
      <c r="C13" s="10" t="s">
        <v>13</v>
      </c>
      <c r="D13" s="2" t="s">
        <v>46</v>
      </c>
      <c r="E13" s="23">
        <v>1</v>
      </c>
      <c r="F13" s="23">
        <v>500000</v>
      </c>
      <c r="G13" s="56">
        <f t="shared" si="0"/>
        <v>500000</v>
      </c>
      <c r="H13" s="58">
        <f>G13/[1]XCHR!$B$1</f>
        <v>18926.48951472481</v>
      </c>
      <c r="I13" s="75"/>
      <c r="J13" s="75">
        <f>F13*0.5</f>
        <v>250000</v>
      </c>
      <c r="K13" s="75">
        <f>F13*0.5</f>
        <v>250000</v>
      </c>
      <c r="L13" s="75"/>
      <c r="M13" s="51" t="s">
        <v>47</v>
      </c>
    </row>
    <row r="14" spans="2:14" x14ac:dyDescent="0.25">
      <c r="B14" s="27" t="s">
        <v>18</v>
      </c>
      <c r="C14" s="10" t="s">
        <v>13</v>
      </c>
      <c r="D14" s="2" t="s">
        <v>48</v>
      </c>
      <c r="E14" s="23">
        <v>1</v>
      </c>
      <c r="F14" s="23">
        <v>500000</v>
      </c>
      <c r="G14" s="56">
        <f t="shared" si="0"/>
        <v>500000</v>
      </c>
      <c r="H14" s="58">
        <f>G14/[1]XCHR!$B$1</f>
        <v>18926.48951472481</v>
      </c>
      <c r="I14" s="78"/>
      <c r="J14" s="75">
        <f>F14*0.5</f>
        <v>250000</v>
      </c>
      <c r="K14" s="78">
        <f>F14*0.5</f>
        <v>250000</v>
      </c>
      <c r="L14" s="78"/>
      <c r="M14" s="51" t="s">
        <v>47</v>
      </c>
    </row>
    <row r="15" spans="2:14" ht="14.45" customHeight="1" x14ac:dyDescent="0.25">
      <c r="B15" s="27" t="s">
        <v>18</v>
      </c>
      <c r="C15" s="13" t="s">
        <v>38</v>
      </c>
      <c r="D15" s="39" t="s">
        <v>49</v>
      </c>
      <c r="E15" s="40">
        <v>1</v>
      </c>
      <c r="F15" s="41">
        <v>1450000</v>
      </c>
      <c r="G15" s="56">
        <f t="shared" si="0"/>
        <v>1450000</v>
      </c>
      <c r="H15" s="82">
        <f>G15/[1]XCHR!$B$1</f>
        <v>54886.819592701948</v>
      </c>
      <c r="I15" s="81"/>
      <c r="J15" s="81"/>
      <c r="K15" s="81">
        <f>F15</f>
        <v>1450000</v>
      </c>
      <c r="L15" s="81"/>
      <c r="M15" s="95" t="s">
        <v>50</v>
      </c>
    </row>
    <row r="16" spans="2:14" x14ac:dyDescent="0.25">
      <c r="B16" s="27" t="s">
        <v>18</v>
      </c>
      <c r="C16" s="13" t="s">
        <v>38</v>
      </c>
      <c r="D16" s="39" t="s">
        <v>51</v>
      </c>
      <c r="E16" s="42">
        <v>1</v>
      </c>
      <c r="F16" s="43">
        <v>520000</v>
      </c>
      <c r="G16" s="56">
        <f t="shared" si="0"/>
        <v>520000</v>
      </c>
      <c r="H16" s="82">
        <f>G16/[1]XCHR!$B$1</f>
        <v>19683.549095313803</v>
      </c>
      <c r="I16" s="81"/>
      <c r="J16" s="81">
        <f>F16</f>
        <v>520000</v>
      </c>
      <c r="K16" s="81"/>
      <c r="L16" s="81"/>
      <c r="M16" s="96"/>
    </row>
    <row r="17" spans="2:13" x14ac:dyDescent="0.25">
      <c r="B17" s="27" t="s">
        <v>18</v>
      </c>
      <c r="C17" s="13" t="s">
        <v>38</v>
      </c>
      <c r="D17" s="26" t="s">
        <v>52</v>
      </c>
      <c r="E17" s="43">
        <v>1</v>
      </c>
      <c r="F17" s="43">
        <v>520000</v>
      </c>
      <c r="G17" s="56">
        <f t="shared" si="0"/>
        <v>520000</v>
      </c>
      <c r="H17" s="82">
        <f>G17/[1]XCHR!$B$1</f>
        <v>19683.549095313803</v>
      </c>
      <c r="I17" s="81"/>
      <c r="J17" s="81">
        <f>F17</f>
        <v>520000</v>
      </c>
      <c r="K17" s="81"/>
      <c r="L17" s="81"/>
      <c r="M17" s="97"/>
    </row>
    <row r="18" spans="2:13" x14ac:dyDescent="0.25">
      <c r="B18" s="29" t="s">
        <v>19</v>
      </c>
      <c r="C18" s="2"/>
      <c r="D18" s="17"/>
      <c r="E18" s="24"/>
      <c r="F18" s="24"/>
      <c r="G18" s="65">
        <f>SUM(G10:G17)</f>
        <v>4920000</v>
      </c>
      <c r="H18" s="66">
        <f>SUM(H10:H17)</f>
        <v>186236.6568248921</v>
      </c>
      <c r="I18" s="79"/>
      <c r="J18" s="79"/>
      <c r="K18" s="79"/>
      <c r="L18" s="79"/>
      <c r="M18" s="54"/>
    </row>
    <row r="19" spans="2:13" x14ac:dyDescent="0.25">
      <c r="B19" s="29"/>
      <c r="C19" s="2"/>
      <c r="D19" s="2"/>
      <c r="E19" s="23"/>
      <c r="F19" s="23"/>
      <c r="G19" s="67"/>
      <c r="H19" s="68"/>
      <c r="I19" s="77"/>
      <c r="J19" s="77"/>
      <c r="K19" s="77"/>
      <c r="L19" s="77"/>
      <c r="M19" s="54"/>
    </row>
    <row r="20" spans="2:13" ht="30.4" customHeight="1" x14ac:dyDescent="0.25">
      <c r="B20" s="27" t="s">
        <v>20</v>
      </c>
      <c r="C20" s="10" t="s">
        <v>13</v>
      </c>
      <c r="D20" s="2" t="s">
        <v>53</v>
      </c>
      <c r="E20" s="23">
        <v>1</v>
      </c>
      <c r="F20" s="23">
        <v>250000</v>
      </c>
      <c r="G20" s="56">
        <f>E20*F20</f>
        <v>250000</v>
      </c>
      <c r="H20" s="58">
        <f>G20/[1]XCHR!$B$1</f>
        <v>9463.2447573624049</v>
      </c>
      <c r="I20" s="75">
        <f>F20/7</f>
        <v>35714.285714285717</v>
      </c>
      <c r="J20" s="75">
        <f>F20*2/7</f>
        <v>71428.571428571435</v>
      </c>
      <c r="K20" s="75">
        <f>F20*2/7</f>
        <v>71428.571428571435</v>
      </c>
      <c r="L20" s="75">
        <f>F20*2/7</f>
        <v>71428.571428571435</v>
      </c>
      <c r="M20" s="55" t="s">
        <v>54</v>
      </c>
    </row>
    <row r="21" spans="2:13" ht="30.4" customHeight="1" x14ac:dyDescent="0.25">
      <c r="B21" s="27" t="s">
        <v>20</v>
      </c>
      <c r="C21" s="11" t="s">
        <v>15</v>
      </c>
      <c r="D21" s="2" t="s">
        <v>53</v>
      </c>
      <c r="E21" s="23">
        <v>1</v>
      </c>
      <c r="F21" s="23">
        <v>250000</v>
      </c>
      <c r="G21" s="56">
        <f>E21*F21</f>
        <v>250000</v>
      </c>
      <c r="H21" s="58">
        <f>G21/[1]XCHR!$B$1</f>
        <v>9463.2447573624049</v>
      </c>
      <c r="I21" s="75"/>
      <c r="J21" s="75">
        <f>F21*0.5</f>
        <v>125000</v>
      </c>
      <c r="K21" s="75">
        <f>F21*0.25</f>
        <v>62500</v>
      </c>
      <c r="L21" s="75">
        <f>F21*0.25</f>
        <v>62500</v>
      </c>
      <c r="M21" s="55" t="s">
        <v>54</v>
      </c>
    </row>
    <row r="22" spans="2:13" ht="31.5" customHeight="1" x14ac:dyDescent="0.25">
      <c r="B22" s="27" t="s">
        <v>32</v>
      </c>
      <c r="C22" s="13" t="s">
        <v>38</v>
      </c>
      <c r="D22" s="2" t="s">
        <v>53</v>
      </c>
      <c r="E22" s="23">
        <v>1</v>
      </c>
      <c r="F22" s="23">
        <v>180000</v>
      </c>
      <c r="G22" s="56">
        <f>E22*F22</f>
        <v>180000</v>
      </c>
      <c r="H22" s="58">
        <f>G22/[1]XCHR!$B$1</f>
        <v>6813.5362253009316</v>
      </c>
      <c r="I22" s="75"/>
      <c r="J22" s="75">
        <f>F22*0.5</f>
        <v>90000</v>
      </c>
      <c r="K22" s="75">
        <f>F22*0.25</f>
        <v>45000</v>
      </c>
      <c r="L22" s="75">
        <f>F22*0.25</f>
        <v>45000</v>
      </c>
      <c r="M22" s="55" t="s">
        <v>54</v>
      </c>
    </row>
    <row r="23" spans="2:13" x14ac:dyDescent="0.25">
      <c r="B23" s="29" t="s">
        <v>21</v>
      </c>
      <c r="C23" s="4"/>
      <c r="D23" s="2"/>
      <c r="E23" s="23"/>
      <c r="F23" s="23"/>
      <c r="G23" s="61">
        <f>SUM(G20:G22)</f>
        <v>680000</v>
      </c>
      <c r="H23" s="62">
        <f>G23/[1]XCHR!$B$1</f>
        <v>25740.02574002574</v>
      </c>
      <c r="I23" s="76"/>
      <c r="J23" s="76"/>
      <c r="K23" s="76"/>
      <c r="L23" s="76"/>
      <c r="M23" s="54"/>
    </row>
    <row r="24" spans="2:13" x14ac:dyDescent="0.25">
      <c r="B24" s="29"/>
      <c r="C24" s="4"/>
      <c r="D24" s="2"/>
      <c r="E24" s="23"/>
      <c r="F24" s="23"/>
      <c r="G24" s="61"/>
      <c r="H24" s="69"/>
      <c r="I24" s="80"/>
      <c r="J24" s="80"/>
      <c r="K24" s="80"/>
      <c r="L24" s="80"/>
      <c r="M24" s="54"/>
    </row>
    <row r="25" spans="2:13" ht="30" x14ac:dyDescent="0.25">
      <c r="B25" s="27" t="s">
        <v>22</v>
      </c>
      <c r="C25" s="11" t="s">
        <v>15</v>
      </c>
      <c r="D25" s="49" t="s">
        <v>55</v>
      </c>
      <c r="E25" s="23">
        <v>1</v>
      </c>
      <c r="F25" s="23">
        <f>(80000+64221)</f>
        <v>144221</v>
      </c>
      <c r="G25" s="56">
        <f>E25*F25</f>
        <v>144221</v>
      </c>
      <c r="H25" s="58">
        <f>G25/[1]XCHR!$B$1</f>
        <v>5459.1944886062538</v>
      </c>
      <c r="I25" s="75"/>
      <c r="J25" s="75"/>
      <c r="K25" s="75">
        <f>F25</f>
        <v>144221</v>
      </c>
      <c r="L25" s="75"/>
      <c r="M25" s="70"/>
    </row>
    <row r="26" spans="2:13" ht="25.15" customHeight="1" x14ac:dyDescent="0.25">
      <c r="B26" s="29" t="s">
        <v>23</v>
      </c>
      <c r="C26" s="2"/>
      <c r="D26" s="2"/>
      <c r="E26" s="23"/>
      <c r="F26" s="23"/>
      <c r="G26" s="61">
        <f>SUM(G25:G25)</f>
        <v>144221</v>
      </c>
      <c r="H26" s="62">
        <f>G26/[1]XCHR!$B$1</f>
        <v>5459.1944886062538</v>
      </c>
      <c r="I26" s="76"/>
      <c r="J26" s="76"/>
      <c r="K26" s="76"/>
      <c r="L26" s="76"/>
      <c r="M26" s="53"/>
    </row>
    <row r="27" spans="2:13" x14ac:dyDescent="0.25">
      <c r="B27" s="29"/>
      <c r="C27" s="2"/>
      <c r="D27" s="2"/>
      <c r="E27" s="23"/>
      <c r="F27" s="23"/>
      <c r="G27" s="67"/>
      <c r="H27" s="68"/>
      <c r="I27" s="77"/>
      <c r="J27" s="77"/>
      <c r="K27" s="77"/>
      <c r="L27" s="77"/>
      <c r="M27" s="54"/>
    </row>
    <row r="28" spans="2:13" ht="45" x14ac:dyDescent="0.25">
      <c r="B28" s="29" t="s">
        <v>24</v>
      </c>
      <c r="C28" s="12" t="s">
        <v>25</v>
      </c>
      <c r="D28" s="7" t="s">
        <v>26</v>
      </c>
      <c r="E28" s="15">
        <v>20</v>
      </c>
      <c r="F28" s="91">
        <f>G28/20</f>
        <v>48212.85</v>
      </c>
      <c r="G28" s="71">
        <f>(H28*[1]XCHR!B1)</f>
        <v>964257</v>
      </c>
      <c r="H28" s="58">
        <f>(700+150*5+75*5)*E28</f>
        <v>36500</v>
      </c>
      <c r="I28" s="78">
        <f>F28*3</f>
        <v>144638.54999999999</v>
      </c>
      <c r="J28" s="78">
        <f>F28*5</f>
        <v>241064.25</v>
      </c>
      <c r="K28" s="78">
        <f>F28*8</f>
        <v>385702.8</v>
      </c>
      <c r="L28" s="78">
        <f>F28*4</f>
        <v>192851.4</v>
      </c>
      <c r="M28" s="53" t="s">
        <v>56</v>
      </c>
    </row>
    <row r="29" spans="2:13" ht="30" x14ac:dyDescent="0.25">
      <c r="B29" s="29"/>
      <c r="C29" s="12" t="s">
        <v>13</v>
      </c>
      <c r="D29" s="7" t="s">
        <v>27</v>
      </c>
      <c r="E29" s="25">
        <v>2</v>
      </c>
      <c r="F29" s="35">
        <v>164082</v>
      </c>
      <c r="G29" s="61">
        <f>E29*F29</f>
        <v>328164</v>
      </c>
      <c r="H29" s="82">
        <f>G29/[1]XCHR!$B$1</f>
        <v>12421.985010220305</v>
      </c>
      <c r="I29" s="81"/>
      <c r="J29" s="90">
        <f>F29</f>
        <v>164082</v>
      </c>
      <c r="K29" s="81">
        <f>F29</f>
        <v>164082</v>
      </c>
      <c r="L29" s="81"/>
      <c r="M29" s="52" t="s">
        <v>57</v>
      </c>
    </row>
    <row r="30" spans="2:13" ht="23.45" customHeight="1" x14ac:dyDescent="0.25">
      <c r="B30" s="29" t="s">
        <v>28</v>
      </c>
      <c r="C30" s="7"/>
      <c r="D30" s="7"/>
      <c r="E30" s="7"/>
      <c r="F30" s="7"/>
      <c r="G30" s="61">
        <f>SUM(G28:G29)</f>
        <v>1292421</v>
      </c>
      <c r="H30" s="62">
        <f>G30/[1]XCHR!$B$1</f>
        <v>48921.985010220305</v>
      </c>
      <c r="I30" s="79"/>
      <c r="J30" s="79"/>
      <c r="K30" s="79"/>
      <c r="L30" s="79"/>
      <c r="M30" s="53"/>
    </row>
    <row r="31" spans="2:13" x14ac:dyDescent="0.25">
      <c r="B31" s="29"/>
      <c r="C31" s="7"/>
      <c r="D31" s="7"/>
      <c r="E31" s="7"/>
      <c r="F31" s="7"/>
      <c r="G31" s="19"/>
      <c r="H31" s="72"/>
      <c r="I31" s="75"/>
      <c r="J31" s="75"/>
      <c r="K31" s="75"/>
      <c r="L31" s="75"/>
      <c r="M31" s="54"/>
    </row>
    <row r="32" spans="2:13" ht="25.15" customHeight="1" x14ac:dyDescent="0.25">
      <c r="B32" s="29" t="s">
        <v>29</v>
      </c>
      <c r="C32" s="4"/>
      <c r="D32" s="2"/>
      <c r="E32" s="2"/>
      <c r="F32" s="2"/>
      <c r="G32" s="71">
        <f>G8+G26+G18+G23+G30</f>
        <v>17700536</v>
      </c>
      <c r="H32" s="62">
        <f>H8+H18+H26+H30+H23</f>
        <v>670018.01801801799</v>
      </c>
      <c r="I32" s="89"/>
      <c r="J32" s="89"/>
      <c r="K32" s="89"/>
      <c r="L32" s="89"/>
      <c r="M32" s="73"/>
    </row>
    <row r="33" spans="2:13" ht="23.45" customHeight="1" x14ac:dyDescent="0.25">
      <c r="B33" s="30" t="s">
        <v>30</v>
      </c>
      <c r="G33" s="21">
        <f>G4+G5+G10+G11+G12+G13+G14+G20+G28+G29</f>
        <v>9460993</v>
      </c>
      <c r="H33" s="86">
        <f>SUM(H4:H5)+SUM(H10:H14)+H20+SUM(H28:H29)</f>
        <v>358126.76962676964</v>
      </c>
      <c r="I33" s="83"/>
      <c r="J33" s="83"/>
      <c r="K33" s="83"/>
      <c r="L33" s="83"/>
      <c r="M33" s="31"/>
    </row>
    <row r="34" spans="2:13" ht="23.45" customHeight="1" x14ac:dyDescent="0.25">
      <c r="B34" s="44" t="s">
        <v>31</v>
      </c>
      <c r="G34" s="20">
        <f>G6+G21+G25</f>
        <v>4028493</v>
      </c>
      <c r="H34" s="87">
        <f>SUM(H6+H21+H25)</f>
        <v>152490.46104928458</v>
      </c>
      <c r="I34" s="84"/>
      <c r="J34" s="84"/>
      <c r="K34" s="84"/>
      <c r="L34" s="84"/>
      <c r="M34" s="31"/>
    </row>
    <row r="35" spans="2:13" ht="24" customHeight="1" x14ac:dyDescent="0.25">
      <c r="B35" s="45" t="s">
        <v>58</v>
      </c>
      <c r="C35" s="32"/>
      <c r="D35" s="32"/>
      <c r="E35" s="32"/>
      <c r="F35" s="32"/>
      <c r="G35" s="46">
        <f>G7+G15+G16+G17+G22</f>
        <v>4211050</v>
      </c>
      <c r="H35" s="88">
        <f>SUM(H7)+SUM(H15:H17)+SUM(H22)</f>
        <v>159400.78734196382</v>
      </c>
      <c r="I35" s="85"/>
      <c r="J35" s="85"/>
      <c r="K35" s="85"/>
      <c r="L35" s="85"/>
      <c r="M35" s="33"/>
    </row>
    <row r="36" spans="2:13" x14ac:dyDescent="0.25">
      <c r="G36" s="48"/>
    </row>
    <row r="37" spans="2:13" x14ac:dyDescent="0.25">
      <c r="G37" s="47"/>
    </row>
    <row r="38" spans="2:13" x14ac:dyDescent="0.25">
      <c r="G38" s="16"/>
    </row>
  </sheetData>
  <mergeCells count="2">
    <mergeCell ref="B2:M2"/>
    <mergeCell ref="M15:M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80c374-78bb-4e3b-8555-b6fed851bffe" xsi:nil="true"/>
    <lcf76f155ced4ddcb4097134ff3c332f xmlns="26741476-6a0b-4567-96dc-bb9f83e3a8c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E10C75E4899045BDDADB24CE64572D" ma:contentTypeVersion="16" ma:contentTypeDescription="Create a new document." ma:contentTypeScope="" ma:versionID="b8034b9aa3b145f5734d62e423f5f201">
  <xsd:schema xmlns:xsd="http://www.w3.org/2001/XMLSchema" xmlns:xs="http://www.w3.org/2001/XMLSchema" xmlns:p="http://schemas.microsoft.com/office/2006/metadata/properties" xmlns:ns2="7180c374-78bb-4e3b-8555-b6fed851bffe" xmlns:ns3="26741476-6a0b-4567-96dc-bb9f83e3a8cf" targetNamespace="http://schemas.microsoft.com/office/2006/metadata/properties" ma:root="true" ma:fieldsID="7b26028ce8952f77f7761d9455ccb685" ns2:_="" ns3:_="">
    <xsd:import namespace="7180c374-78bb-4e3b-8555-b6fed851bffe"/>
    <xsd:import namespace="26741476-6a0b-4567-96dc-bb9f83e3a8cf"/>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80c374-78bb-4e3b-8555-b6fed851bff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d66644fa-1e04-4b0b-99a7-e1fb9cd97a0f}" ma:internalName="TaxCatchAll" ma:showField="CatchAllData" ma:web="7180c374-78bb-4e3b-8555-b6fed851bf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741476-6a0b-4567-96dc-bb9f83e3a8cf"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a1e35d8-cbd7-4d36-b574-fce871f7266f"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E23759-8650-4EB6-85EF-C38797845176}">
  <ds:schemaRefs>
    <ds:schemaRef ds:uri="http://schemas.microsoft.com/office/2006/metadata/properties"/>
    <ds:schemaRef ds:uri="http://schemas.microsoft.com/office/infopath/2007/PartnerControls"/>
    <ds:schemaRef ds:uri="7180c374-78bb-4e3b-8555-b6fed851bffe"/>
    <ds:schemaRef ds:uri="26741476-6a0b-4567-96dc-bb9f83e3a8cf"/>
  </ds:schemaRefs>
</ds:datastoreItem>
</file>

<file path=customXml/itemProps2.xml><?xml version="1.0" encoding="utf-8"?>
<ds:datastoreItem xmlns:ds="http://schemas.openxmlformats.org/officeDocument/2006/customXml" ds:itemID="{D149B728-1130-484B-AAED-42A1FE9B2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80c374-78bb-4e3b-8555-b6fed851bffe"/>
    <ds:schemaRef ds:uri="26741476-6a0b-4567-96dc-bb9f83e3a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979C2-1CE3-4656-B946-A6CFEA7B8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XCHR</vt:lpstr>
      <vt:lpstr>Detector - EMPANADE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Zeljka Skocilic</dc:creator>
  <cp:keywords/>
  <dc:description/>
  <cp:lastModifiedBy>Cimmino Anna</cp:lastModifiedBy>
  <cp:revision/>
  <dcterms:created xsi:type="dcterms:W3CDTF">2023-09-07T10:54:45Z</dcterms:created>
  <dcterms:modified xsi:type="dcterms:W3CDTF">2025-05-23T11:12:35Z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0x010100F0E10C75E4899045BDDADB24CE64572D</vt:lpwstr>
  </property>
  <property fmtid="{D5CDD505-2E9C-101B-9397-08002B2CF9AE}" pid="3" name="MediaServiceImageTags">
    <vt:lpwstr/>
  </property>
</Properties>
</file>